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8" i="1"/>
  <c r="F53"/>
  <c r="G25"/>
  <c r="G26"/>
  <c r="G27"/>
  <c r="G28"/>
  <c r="G29"/>
  <c r="G31"/>
  <c r="G32"/>
  <c r="G33"/>
  <c r="G35"/>
  <c r="G36"/>
  <c r="G37"/>
  <c r="G38"/>
  <c r="G40"/>
  <c r="G41"/>
  <c r="G42"/>
  <c r="G43"/>
  <c r="G44"/>
  <c r="G46"/>
  <c r="G47"/>
  <c r="G49"/>
  <c r="G52"/>
  <c r="G54"/>
  <c r="G56"/>
  <c r="G57"/>
  <c r="G58"/>
  <c r="G59"/>
  <c r="G60"/>
  <c r="G61"/>
  <c r="G62"/>
  <c r="G63"/>
  <c r="G64"/>
  <c r="G65"/>
  <c r="G66"/>
  <c r="G67"/>
  <c r="G69"/>
  <c r="G71"/>
  <c r="G72"/>
  <c r="G73"/>
  <c r="G74"/>
  <c r="G75"/>
  <c r="G76"/>
  <c r="G78"/>
  <c r="G79"/>
  <c r="G80"/>
  <c r="G81"/>
  <c r="G83"/>
  <c r="G84"/>
  <c r="G85"/>
  <c r="G12"/>
  <c r="G16"/>
  <c r="G17"/>
  <c r="G18"/>
  <c r="F77"/>
  <c r="G77" s="1"/>
  <c r="F68"/>
  <c r="G68" s="1"/>
  <c r="G53"/>
  <c r="G48"/>
  <c r="F45"/>
  <c r="G45" s="1"/>
  <c r="E81"/>
  <c r="E82" s="1"/>
  <c r="E73"/>
  <c r="E69"/>
  <c r="E70" s="1"/>
  <c r="E54"/>
  <c r="E55" s="1"/>
  <c r="E49"/>
  <c r="E51" s="1"/>
  <c r="E32"/>
  <c r="E29"/>
  <c r="E30" s="1"/>
  <c r="E31" l="1"/>
  <c r="E24" s="1"/>
  <c r="E52"/>
  <c r="E56"/>
  <c r="E53" s="1"/>
  <c r="E71"/>
  <c r="E83"/>
  <c r="E77" s="1"/>
  <c r="E48"/>
  <c r="E68"/>
  <c r="E23" l="1"/>
  <c r="F39" l="1"/>
  <c r="G39" s="1"/>
  <c r="F34"/>
  <c r="G34" s="1"/>
  <c r="F24"/>
  <c r="G24" s="1"/>
  <c r="F7"/>
  <c r="F23" l="1"/>
  <c r="G23" s="1"/>
  <c r="E19" l="1"/>
  <c r="G19" s="1"/>
  <c r="E8"/>
  <c r="G8" s="1"/>
  <c r="E13"/>
  <c r="G13" s="1"/>
  <c r="E14"/>
  <c r="G14" s="1"/>
  <c r="E11" l="1"/>
  <c r="G11" s="1"/>
  <c r="E9"/>
  <c r="G9" s="1"/>
  <c r="E10" l="1"/>
  <c r="E7" l="1"/>
  <c r="G7" s="1"/>
  <c r="G10"/>
</calcChain>
</file>

<file path=xl/sharedStrings.xml><?xml version="1.0" encoding="utf-8"?>
<sst xmlns="http://schemas.openxmlformats.org/spreadsheetml/2006/main" count="95" uniqueCount="91">
  <si>
    <t>"Утверждаю"</t>
  </si>
  <si>
    <t xml:space="preserve">Председатель правления </t>
  </si>
  <si>
    <t>Статьи доходов и расходов</t>
  </si>
  <si>
    <t>Тариф (руб.)</t>
  </si>
  <si>
    <t>Эксплуатируемая площадь (м2)*12 мес</t>
  </si>
  <si>
    <t>Сумма (руб.)</t>
  </si>
  <si>
    <t>Доходы: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</si>
  <si>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Содержание и ремонт общего имущества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</si>
  <si>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Капитальный ремонт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</si>
  <si>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Обслуживание антенн</t>
    </r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</si>
  <si>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 xml:space="preserve">Отопление 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</si>
  <si>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ГВС.   Холодная вода и стоки</t>
    </r>
  </si>
  <si>
    <t>6. Консъержи дома №1 и №5</t>
  </si>
  <si>
    <t>7. Консьержи дом №3</t>
  </si>
  <si>
    <t>9.Планируемые доходы от размещения рекламных стендов</t>
  </si>
  <si>
    <t>10.Компенсация электроэнергии от установленного оборудования сторонних организаций</t>
  </si>
  <si>
    <t>11. Аренда помещения</t>
  </si>
  <si>
    <t>Расходы: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</si>
  <si>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Эксплуатация лифтового хозяйства ( в т.ч.)</t>
    </r>
  </si>
  <si>
    <t xml:space="preserve">Техническое обслуживание и ремонт лифтов </t>
  </si>
  <si>
    <t>Освидетельствование лифтов</t>
  </si>
  <si>
    <t xml:space="preserve">Страхование гражданской ответственности </t>
  </si>
  <si>
    <t>Внеплановый ремонт лифтового хозяйства</t>
  </si>
  <si>
    <t xml:space="preserve">З/плата лифтеров. </t>
  </si>
  <si>
    <t xml:space="preserve">отчисление на з/плату </t>
  </si>
  <si>
    <r>
      <t>2.</t>
    </r>
    <r>
      <rPr>
        <b/>
        <sz val="11"/>
        <color theme="1"/>
        <rFont val="Times New Roman"/>
        <family val="1"/>
        <charset val="204"/>
      </rPr>
      <t>Обслуживание и ремонт противопожарной автоматики</t>
    </r>
  </si>
  <si>
    <r>
      <t>3.</t>
    </r>
    <r>
      <rPr>
        <b/>
        <sz val="7"/>
        <color theme="1"/>
        <rFont val="Times New Roman"/>
        <family val="1"/>
        <charset val="204"/>
      </rPr>
      <t> </t>
    </r>
    <r>
      <rPr>
        <b/>
        <sz val="11"/>
        <color theme="1"/>
        <rFont val="Times New Roman"/>
        <family val="1"/>
        <charset val="204"/>
      </rPr>
      <t>Обслуживание домофонов, запирающих устройств</t>
    </r>
  </si>
  <si>
    <t>4. Содержание конъержей: в т.ч.</t>
  </si>
  <si>
    <t>- оплата услуг ООО "Домкомфорт"</t>
  </si>
  <si>
    <t>- накладные расходы</t>
  </si>
  <si>
    <r>
      <t>5.</t>
    </r>
    <r>
      <rPr>
        <b/>
        <sz val="11"/>
        <color theme="1"/>
        <rFont val="Times New Roman"/>
        <family val="1"/>
        <charset val="204"/>
      </rPr>
      <t>Затраты на освещение мест общего пользования и электроэнергию для работы лифтов</t>
    </r>
  </si>
  <si>
    <r>
      <t>6.</t>
    </r>
    <r>
      <rPr>
        <b/>
        <sz val="7"/>
        <color theme="1"/>
        <rFont val="Times New Roman"/>
        <family val="1"/>
        <charset val="204"/>
      </rPr>
      <t> </t>
    </r>
    <r>
      <rPr>
        <b/>
        <sz val="11"/>
        <color theme="1"/>
        <rFont val="Times New Roman"/>
        <family val="1"/>
        <charset val="204"/>
      </rPr>
      <t>Вывоз мусора</t>
    </r>
  </si>
  <si>
    <t>7.Санитарное и техническое содержание придомовой территории: в т.ч.</t>
  </si>
  <si>
    <t>Инвентарь и расходные материалы (лопаты, мётла, перчатки, мешки. Антигололедные реагенты.  и пр.)</t>
  </si>
  <si>
    <t>Ремонт дорожного покрытия во дворе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</si>
  <si>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Озеленение</t>
    </r>
  </si>
  <si>
    <t>8.Уборка лестничных площадок и мест общего пользования : в т.ч.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</si>
  <si>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Начисления на з/п</t>
    </r>
  </si>
  <si>
    <t xml:space="preserve">Инвентарь и расходные материалы </t>
  </si>
  <si>
    <t>9.Аварийно-диспетчерское обслуживание: в т.ч.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</si>
  <si>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начисления на з/п</t>
    </r>
  </si>
  <si>
    <t>11.Текущий ремонт и техническое обслуживание: в т.ч.</t>
  </si>
  <si>
    <t>начисления на з/п</t>
  </si>
  <si>
    <t>Подготовка к сезонной эксплуатации внутридомовых инженерных сетей</t>
  </si>
  <si>
    <t>Ремонт парковочных столбов</t>
  </si>
  <si>
    <t>Установка обратных клапанов на водосчетчиках в квартирах</t>
  </si>
  <si>
    <t>Текущий ремонт и замена запорной арматуры на стояках</t>
  </si>
  <si>
    <t>Ремонт фасадов домов, замена плитки на фасадах</t>
  </si>
  <si>
    <t>Замена доводчиков на входных дверях</t>
  </si>
  <si>
    <t>Монтаж и обслуживание видео-камер</t>
  </si>
  <si>
    <t>Дератизация и дезинсекция</t>
  </si>
  <si>
    <r>
      <t>12.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Регистрационный учёт: в т.ч.</t>
    </r>
  </si>
  <si>
    <t xml:space="preserve">заработная плата паспортиста </t>
  </si>
  <si>
    <t xml:space="preserve">начисления на з/п паспортиста </t>
  </si>
  <si>
    <r>
      <t>13.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Капитальный ремонт</t>
    </r>
  </si>
  <si>
    <r>
      <t>14.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Обслуживание антенн</t>
    </r>
  </si>
  <si>
    <t xml:space="preserve">15. Оплата банковских услуг </t>
  </si>
  <si>
    <t>17.Непредвиденные расходы</t>
  </si>
  <si>
    <t>18.Административные расходы: в т.ч.</t>
  </si>
  <si>
    <t>услуги связи</t>
  </si>
  <si>
    <t>расходные материалы.канц/товары, оргтехника, обслуживание оргтехники</t>
  </si>
  <si>
    <t>Информационные, консалтинговые услуги, услуги почты обучение сотрудников, програмное обеспечеие</t>
  </si>
  <si>
    <r>
      <t>19.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Отопление</t>
    </r>
  </si>
  <si>
    <r>
      <t>20.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ГВС. Холодная вода и стоки</t>
    </r>
  </si>
  <si>
    <t>8. Домофон  (т.ч. ключи)</t>
  </si>
  <si>
    <t>з/плата дворников (услуги домкомфорт)</t>
  </si>
  <si>
    <t>идексация з/п 5%</t>
  </si>
  <si>
    <t>З/плата сотрудников (диспетчер - 4 чел., слесарь-сантехник - 4 чел.)</t>
  </si>
  <si>
    <t>З/плата сотрудников (гл. инженер, электрик, плотник, инженер по пром. Безопастности, техник-смотритель)</t>
  </si>
  <si>
    <t>Ремонт дверей переходных балконов пожарных лестниц с установкой доводчиков</t>
  </si>
  <si>
    <t>21,88/23,2</t>
  </si>
  <si>
    <t>236,12/247,92</t>
  </si>
  <si>
    <t>286,75/301,09</t>
  </si>
  <si>
    <t>включено в тариф</t>
  </si>
  <si>
    <t>идексация з/п 5% с 1 июля 2015</t>
  </si>
  <si>
    <t>16. Налогообложение</t>
  </si>
  <si>
    <t>З/плата сотрудников (Председатель, гл. бухгалтер, Управляющий)</t>
  </si>
  <si>
    <t xml:space="preserve">12. Озеленение </t>
  </si>
  <si>
    <t>На основании решения общего собрания собственников №6</t>
  </si>
  <si>
    <t>Частичный ремонт и покраска стен в местах общего пользования, замена светильников освещения мест общего пользования</t>
  </si>
  <si>
    <t>Покраска заборов, ограждений и каркасов козырьков запасных выходов с заменой покрытия из поликарбоната</t>
  </si>
  <si>
    <t>38,89(1-е полугодие)/  ~41,15(2-е полугодие)</t>
  </si>
  <si>
    <t>0,3(1-е полугодие)/ 0,5(2-е полугодие)</t>
  </si>
  <si>
    <t>Исполнение в процентах</t>
  </si>
  <si>
    <t>Получено, сумма (руб)</t>
  </si>
  <si>
    <r>
      <t>13. Прочие доходы (</t>
    </r>
    <r>
      <rPr>
        <sz val="11"/>
        <color theme="1"/>
        <rFont val="Times New Roman"/>
        <family val="1"/>
        <charset val="204"/>
      </rPr>
      <t>средства полученные по исполнительному листу(возврат госпошлины), взаимозачеты по акту сверки</t>
    </r>
    <r>
      <rPr>
        <b/>
        <sz val="11"/>
        <color theme="1"/>
        <rFont val="Times New Roman"/>
        <family val="1"/>
        <charset val="204"/>
      </rPr>
      <t>)</t>
    </r>
  </si>
  <si>
    <r>
      <t xml:space="preserve">14. Проценты от размещения денежных средств на депозит </t>
    </r>
    <r>
      <rPr>
        <sz val="11"/>
        <color theme="1"/>
        <rFont val="Calibri"/>
        <family val="2"/>
        <charset val="204"/>
        <scheme val="minor"/>
      </rPr>
      <t xml:space="preserve">(от остатка суммы, собранной на капремонт до 1 мая 2014 года) </t>
    </r>
  </si>
  <si>
    <t>Замена перегоревших электроламп в местах общего пользования, ремонт светильников</t>
  </si>
  <si>
    <t>Материалы и инвентарь</t>
  </si>
  <si>
    <t>ИСПОЛНЕНИЕ СМЕТЫ ДОХОДОВ И РАСХОДОВ ТСЖ «БИТЦЕВСКИЙ ПРОЕЗД» на 2015 ГОД</t>
  </si>
  <si>
    <t xml:space="preserve">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</si>
</sst>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Border="1" applyAlignment="1">
      <alignment horizontal="justify" vertical="center" wrapText="1"/>
    </xf>
    <xf numFmtId="49" fontId="5" fillId="4" borderId="3" xfId="0" applyNumberFormat="1" applyFont="1" applyFill="1" applyBorder="1" applyAlignment="1">
      <alignment horizontal="justify" vertical="top" wrapText="1"/>
    </xf>
    <xf numFmtId="49" fontId="7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center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0" xfId="0" applyFill="1"/>
    <xf numFmtId="2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7" fillId="5" borderId="3" xfId="0" applyNumberFormat="1" applyFont="1" applyFill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2" fontId="0" fillId="0" borderId="0" xfId="0" applyNumberFormat="1"/>
    <xf numFmtId="49" fontId="2" fillId="0" borderId="0" xfId="0" applyNumberFormat="1" applyFont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10" fontId="2" fillId="0" borderId="7" xfId="1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 wrapText="1"/>
    </xf>
    <xf numFmtId="2" fontId="0" fillId="6" borderId="12" xfId="0" applyNumberFormat="1" applyFill="1" applyBorder="1" applyAlignment="1">
      <alignment horizontal="center" vertical="center"/>
    </xf>
    <xf numFmtId="2" fontId="0" fillId="4" borderId="7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vertical="center" wrapText="1"/>
    </xf>
    <xf numFmtId="2" fontId="0" fillId="4" borderId="13" xfId="0" applyNumberFormat="1" applyFill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6" borderId="12" xfId="0" applyNumberFormat="1" applyFill="1" applyBorder="1" applyAlignment="1">
      <alignment horizontal="center" vertical="center"/>
    </xf>
    <xf numFmtId="10" fontId="0" fillId="4" borderId="7" xfId="0" applyNumberForma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9" fontId="0" fillId="0" borderId="0" xfId="0" applyNumberFormat="1" applyAlignment="1">
      <alignment horizontal="left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topLeftCell="A67" workbookViewId="0">
      <selection activeCell="I73" sqref="I73"/>
    </sheetView>
  </sheetViews>
  <sheetFormatPr defaultRowHeight="15"/>
  <cols>
    <col min="1" max="1" width="4.7109375" customWidth="1"/>
    <col min="2" max="2" width="38.140625" customWidth="1"/>
    <col min="3" max="3" width="14.7109375" customWidth="1"/>
    <col min="4" max="4" width="15.42578125" customWidth="1"/>
    <col min="5" max="5" width="28.5703125" style="57" customWidth="1"/>
    <col min="6" max="7" width="24.42578125" bestFit="1" customWidth="1"/>
    <col min="8" max="8" width="13.28515625" customWidth="1"/>
    <col min="9" max="9" width="10.5703125" bestFit="1" customWidth="1"/>
  </cols>
  <sheetData>
    <row r="1" spans="2:8">
      <c r="B1" s="1"/>
      <c r="C1" t="s">
        <v>78</v>
      </c>
    </row>
    <row r="2" spans="2:8">
      <c r="B2" s="1"/>
      <c r="C2" s="33" t="s">
        <v>0</v>
      </c>
      <c r="D2" s="2"/>
      <c r="E2" s="58"/>
    </row>
    <row r="3" spans="2:8">
      <c r="B3" s="2"/>
      <c r="C3" s="79" t="s">
        <v>1</v>
      </c>
      <c r="D3" s="79"/>
      <c r="E3" s="58"/>
    </row>
    <row r="4" spans="2:8">
      <c r="B4" s="2"/>
      <c r="C4" s="3"/>
      <c r="D4" s="3"/>
      <c r="E4" s="59"/>
    </row>
    <row r="5" spans="2:8" ht="15.75" thickBot="1">
      <c r="B5" s="4" t="s">
        <v>89</v>
      </c>
    </row>
    <row r="6" spans="2:8" ht="45.75" thickBot="1">
      <c r="B6" s="5" t="s">
        <v>2</v>
      </c>
      <c r="C6" s="6" t="s">
        <v>3</v>
      </c>
      <c r="D6" s="6" t="s">
        <v>4</v>
      </c>
      <c r="E6" s="60" t="s">
        <v>5</v>
      </c>
      <c r="F6" s="38" t="s">
        <v>84</v>
      </c>
      <c r="G6" s="38" t="s">
        <v>83</v>
      </c>
    </row>
    <row r="7" spans="2:8" ht="21.75" thickBot="1">
      <c r="B7" s="7" t="s">
        <v>6</v>
      </c>
      <c r="C7" s="8"/>
      <c r="D7" s="8"/>
      <c r="E7" s="61">
        <f>SUM(E8:E20)</f>
        <v>28597622.450000003</v>
      </c>
      <c r="F7" s="43">
        <f>F8+F9+F10+F11+F12+F13+F14+F15+F16+F17+F18+F19+F20+F21</f>
        <v>27053864.100000001</v>
      </c>
      <c r="G7" s="53">
        <f>F7/E7</f>
        <v>0.94601794772628023</v>
      </c>
    </row>
    <row r="8" spans="2:8" ht="60.75" thickBot="1">
      <c r="B8" s="9" t="s">
        <v>7</v>
      </c>
      <c r="C8" s="34" t="s">
        <v>81</v>
      </c>
      <c r="D8" s="31">
        <v>23139.5</v>
      </c>
      <c r="E8" s="35">
        <f>(D8*38.89*6+D8*41.15*6)</f>
        <v>11112513.48</v>
      </c>
      <c r="F8" s="44">
        <v>11457666.210000001</v>
      </c>
      <c r="G8" s="53">
        <f t="shared" ref="G8:G19" si="0">F8/E8</f>
        <v>1.0310598255400272</v>
      </c>
    </row>
    <row r="9" spans="2:8" ht="15.75" thickBot="1">
      <c r="B9" s="9" t="s">
        <v>8</v>
      </c>
      <c r="C9" s="28">
        <v>7.8</v>
      </c>
      <c r="D9" s="11">
        <v>22798.9</v>
      </c>
      <c r="E9" s="62">
        <f>C9*D9*12</f>
        <v>2133977.04</v>
      </c>
      <c r="F9" s="43">
        <v>2076549.62</v>
      </c>
      <c r="G9" s="53">
        <f t="shared" si="0"/>
        <v>0.97308901692775485</v>
      </c>
    </row>
    <row r="10" spans="2:8" ht="15.75" thickBot="1">
      <c r="B10" s="9" t="s">
        <v>9</v>
      </c>
      <c r="C10" s="11">
        <v>122.13</v>
      </c>
      <c r="D10" s="12">
        <v>380</v>
      </c>
      <c r="E10" s="62">
        <f>C10*D10*12</f>
        <v>556912.80000000005</v>
      </c>
      <c r="F10" s="44">
        <v>537345.66</v>
      </c>
      <c r="G10" s="53">
        <f t="shared" si="0"/>
        <v>0.96486498424888056</v>
      </c>
    </row>
    <row r="11" spans="2:8" ht="15.75" thickBot="1">
      <c r="B11" s="9" t="s">
        <v>10</v>
      </c>
      <c r="C11" s="28" t="s">
        <v>70</v>
      </c>
      <c r="D11" s="11">
        <v>23139.5</v>
      </c>
      <c r="E11" s="62">
        <f>(21.88*D11*6+23.2*D11*6)</f>
        <v>6258771.96</v>
      </c>
      <c r="F11" s="43">
        <v>5424013.3399999999</v>
      </c>
      <c r="G11" s="53">
        <f t="shared" si="0"/>
        <v>0.86662581328494348</v>
      </c>
    </row>
    <row r="12" spans="2:8" ht="15.75" thickBot="1">
      <c r="B12" s="13" t="s">
        <v>11</v>
      </c>
      <c r="C12" s="10"/>
      <c r="D12" s="10"/>
      <c r="E12" s="62">
        <v>6740909.1299999999</v>
      </c>
      <c r="F12" s="45">
        <v>5790123.9400000004</v>
      </c>
      <c r="G12" s="53">
        <f t="shared" si="0"/>
        <v>0.85895297330613929</v>
      </c>
    </row>
    <row r="13" spans="2:8" ht="16.5" customHeight="1" thickBot="1">
      <c r="B13" s="9" t="s">
        <v>12</v>
      </c>
      <c r="C13" s="29" t="s">
        <v>71</v>
      </c>
      <c r="D13" s="14">
        <v>270</v>
      </c>
      <c r="E13" s="63">
        <f>236.12*270*6+247.92*270*6</f>
        <v>784144.8</v>
      </c>
      <c r="F13" s="43">
        <v>737576.19</v>
      </c>
      <c r="G13" s="53">
        <f t="shared" si="0"/>
        <v>0.94061223131237992</v>
      </c>
      <c r="H13" s="32"/>
    </row>
    <row r="14" spans="2:8" ht="16.5" customHeight="1" thickBot="1">
      <c r="B14" s="9" t="s">
        <v>13</v>
      </c>
      <c r="C14" s="29" t="s">
        <v>72</v>
      </c>
      <c r="D14" s="15">
        <v>116</v>
      </c>
      <c r="E14" s="64">
        <f>286.75*116*6+301.09*116*6</f>
        <v>409136.63999999996</v>
      </c>
      <c r="F14" s="42">
        <v>416825.27</v>
      </c>
      <c r="G14" s="53">
        <f t="shared" si="0"/>
        <v>1.0187923281571654</v>
      </c>
    </row>
    <row r="15" spans="2:8" ht="16.5" customHeight="1" thickBot="1">
      <c r="B15" s="9" t="s">
        <v>64</v>
      </c>
      <c r="C15" s="77" t="s">
        <v>73</v>
      </c>
      <c r="D15" s="78"/>
      <c r="E15" s="78"/>
      <c r="F15" s="43"/>
      <c r="G15" s="53"/>
    </row>
    <row r="16" spans="2:8" ht="29.25" thickBot="1">
      <c r="B16" s="9" t="s">
        <v>14</v>
      </c>
      <c r="C16" s="8"/>
      <c r="D16" s="8"/>
      <c r="E16" s="65">
        <v>18000</v>
      </c>
      <c r="F16" s="44">
        <v>18000</v>
      </c>
      <c r="G16" s="53">
        <f t="shared" si="0"/>
        <v>1</v>
      </c>
    </row>
    <row r="17" spans="1:9" ht="43.5" thickBot="1">
      <c r="B17" s="9" t="s">
        <v>15</v>
      </c>
      <c r="C17" s="8"/>
      <c r="D17" s="8"/>
      <c r="E17" s="65">
        <v>81600</v>
      </c>
      <c r="F17" s="43">
        <v>109733.33</v>
      </c>
      <c r="G17" s="53">
        <f t="shared" si="0"/>
        <v>1.3447712009803923</v>
      </c>
    </row>
    <row r="18" spans="1:9" ht="15.75" thickBot="1">
      <c r="B18" s="9" t="s">
        <v>16</v>
      </c>
      <c r="C18" s="8"/>
      <c r="D18" s="8"/>
      <c r="E18" s="65">
        <v>390587</v>
      </c>
      <c r="F18" s="44">
        <v>289236.84000000003</v>
      </c>
      <c r="G18" s="53">
        <f t="shared" si="0"/>
        <v>0.74051834802489591</v>
      </c>
    </row>
    <row r="19" spans="1:9" ht="60.75" thickBot="1">
      <c r="B19" s="9" t="s">
        <v>77</v>
      </c>
      <c r="C19" s="34" t="s">
        <v>82</v>
      </c>
      <c r="D19" s="8">
        <v>23139.5</v>
      </c>
      <c r="E19" s="65">
        <f>D19*0.3*6+D19*0.5*6</f>
        <v>111069.6</v>
      </c>
      <c r="F19" s="43">
        <v>106015.71</v>
      </c>
      <c r="G19" s="53">
        <f t="shared" si="0"/>
        <v>0.95449799044923189</v>
      </c>
    </row>
    <row r="20" spans="1:9" ht="60.75" thickBot="1">
      <c r="B20" s="40" t="s">
        <v>85</v>
      </c>
      <c r="C20" s="39"/>
      <c r="D20" s="39"/>
      <c r="E20" s="66"/>
      <c r="F20" s="44">
        <v>10545.9</v>
      </c>
      <c r="G20" s="53">
        <v>1</v>
      </c>
    </row>
    <row r="21" spans="1:9" ht="60.75" thickBot="1">
      <c r="B21" s="41" t="s">
        <v>86</v>
      </c>
      <c r="C21" s="37"/>
      <c r="D21" s="36"/>
      <c r="E21" s="67"/>
      <c r="F21" s="43">
        <v>80232.09</v>
      </c>
      <c r="G21" s="53">
        <v>1</v>
      </c>
    </row>
    <row r="22" spans="1:9" ht="15.75" thickBot="1">
      <c r="B22" s="16"/>
      <c r="C22" s="17"/>
      <c r="D22" s="17"/>
      <c r="E22" s="68"/>
      <c r="F22" s="46"/>
      <c r="G22" s="54"/>
    </row>
    <row r="23" spans="1:9" ht="19.5" thickBot="1">
      <c r="B23" s="18" t="s">
        <v>17</v>
      </c>
      <c r="C23" s="8"/>
      <c r="D23" s="8"/>
      <c r="E23" s="69">
        <f>E24+E32+E33+E34+E37+E38+E39+E45+E48+E53+E68+E72+E73+E74+E75+E77+E84+E76+E85</f>
        <v>28597622.405400001</v>
      </c>
      <c r="F23" s="56">
        <f>F24+F32+F33+F34+F37+F38+F39+F45+F48+F53+F68+F72+F73+F74+F75+F76+F77+F84+F85</f>
        <v>25841319.879999999</v>
      </c>
      <c r="G23" s="53">
        <f>F23/E23</f>
        <v>0.90361777331252768</v>
      </c>
    </row>
    <row r="24" spans="1:9" ht="29.25" thickBot="1">
      <c r="A24">
        <v>1</v>
      </c>
      <c r="B24" s="19" t="s">
        <v>18</v>
      </c>
      <c r="C24" s="8"/>
      <c r="D24" s="8"/>
      <c r="E24" s="70">
        <f>SUM(E25:E31)</f>
        <v>881828.67876000004</v>
      </c>
      <c r="F24" s="47">
        <f>F25+F26+F27+F28+F29+F31</f>
        <v>1064942.6499999999</v>
      </c>
      <c r="G24" s="55">
        <f t="shared" ref="G24:G85" si="1">F24/E24</f>
        <v>1.2076525470882724</v>
      </c>
    </row>
    <row r="25" spans="1:9" ht="30.75" thickBot="1">
      <c r="A25">
        <v>2</v>
      </c>
      <c r="B25" s="20" t="s">
        <v>19</v>
      </c>
      <c r="C25" s="8"/>
      <c r="D25" s="10"/>
      <c r="E25" s="71">
        <v>525714.96</v>
      </c>
      <c r="F25" s="44">
        <v>650353.6</v>
      </c>
      <c r="G25" s="53">
        <f t="shared" si="1"/>
        <v>1.2370840654791335</v>
      </c>
    </row>
    <row r="26" spans="1:9" ht="15.75" thickBot="1">
      <c r="A26">
        <v>3</v>
      </c>
      <c r="B26" s="20" t="s">
        <v>20</v>
      </c>
      <c r="C26" s="8"/>
      <c r="D26" s="10"/>
      <c r="E26" s="71">
        <v>60679.360000000001</v>
      </c>
      <c r="F26" s="43">
        <v>60679.360000000001</v>
      </c>
      <c r="G26" s="53">
        <f t="shared" si="1"/>
        <v>1</v>
      </c>
    </row>
    <row r="27" spans="1:9" ht="30.75" thickBot="1">
      <c r="A27">
        <v>4</v>
      </c>
      <c r="B27" s="20" t="s">
        <v>21</v>
      </c>
      <c r="C27" s="8"/>
      <c r="D27" s="10"/>
      <c r="E27" s="71">
        <v>10000</v>
      </c>
      <c r="F27" s="44">
        <v>16000</v>
      </c>
      <c r="G27" s="53">
        <f t="shared" si="1"/>
        <v>1.6</v>
      </c>
    </row>
    <row r="28" spans="1:9" ht="30.75" thickBot="1">
      <c r="A28">
        <v>5</v>
      </c>
      <c r="B28" s="20" t="s">
        <v>22</v>
      </c>
      <c r="C28" s="8"/>
      <c r="D28" s="10"/>
      <c r="E28" s="71">
        <v>10000</v>
      </c>
      <c r="F28" s="43">
        <v>58570</v>
      </c>
      <c r="G28" s="53">
        <f t="shared" si="1"/>
        <v>5.8570000000000002</v>
      </c>
    </row>
    <row r="29" spans="1:9" ht="15.75" thickBot="1">
      <c r="A29">
        <v>6</v>
      </c>
      <c r="B29" s="20" t="s">
        <v>23</v>
      </c>
      <c r="C29" s="8"/>
      <c r="D29" s="10"/>
      <c r="E29" s="71">
        <f>18706.49*12</f>
        <v>224477.88</v>
      </c>
      <c r="F29" s="44">
        <v>232395.75</v>
      </c>
      <c r="G29" s="53">
        <f t="shared" si="1"/>
        <v>1.0352723840763285</v>
      </c>
    </row>
    <row r="30" spans="1:9" ht="15.75" thickBot="1">
      <c r="A30">
        <v>7</v>
      </c>
      <c r="B30" s="30" t="s">
        <v>74</v>
      </c>
      <c r="C30" s="8"/>
      <c r="D30" s="10"/>
      <c r="E30" s="71">
        <f>(E29*1.05-E29)/2</f>
        <v>5611.9470000000001</v>
      </c>
      <c r="F30" s="48"/>
      <c r="G30" s="53"/>
      <c r="H30" s="32"/>
    </row>
    <row r="31" spans="1:9" ht="15.75" thickBot="1">
      <c r="A31">
        <v>8</v>
      </c>
      <c r="B31" s="20" t="s">
        <v>24</v>
      </c>
      <c r="C31" s="8"/>
      <c r="D31" s="10"/>
      <c r="E31" s="71">
        <f>E29/100*20.2</f>
        <v>45344.531759999998</v>
      </c>
      <c r="F31" s="44">
        <v>46943.94</v>
      </c>
      <c r="G31" s="53">
        <f t="shared" si="1"/>
        <v>1.0352723509962649</v>
      </c>
    </row>
    <row r="32" spans="1:9" ht="29.25" thickBot="1">
      <c r="A32">
        <v>9</v>
      </c>
      <c r="B32" s="21" t="s">
        <v>25</v>
      </c>
      <c r="C32" s="8"/>
      <c r="D32" s="10"/>
      <c r="E32" s="70">
        <f>12245.21*6+13469.73*6</f>
        <v>154289.64000000001</v>
      </c>
      <c r="F32" s="47">
        <v>154289.64000000001</v>
      </c>
      <c r="G32" s="55">
        <f t="shared" si="1"/>
        <v>1</v>
      </c>
      <c r="I32" s="32"/>
    </row>
    <row r="33" spans="1:7" ht="29.25" thickBot="1">
      <c r="A33">
        <v>10</v>
      </c>
      <c r="B33" s="19" t="s">
        <v>26</v>
      </c>
      <c r="C33" s="8"/>
      <c r="D33" s="10"/>
      <c r="E33" s="70">
        <v>144900</v>
      </c>
      <c r="F33" s="49">
        <v>121630</v>
      </c>
      <c r="G33" s="55">
        <f t="shared" si="1"/>
        <v>0.83940648723257416</v>
      </c>
    </row>
    <row r="34" spans="1:7" ht="15.75" thickBot="1">
      <c r="A34">
        <v>11</v>
      </c>
      <c r="B34" s="19" t="s">
        <v>27</v>
      </c>
      <c r="C34" s="8"/>
      <c r="D34" s="10"/>
      <c r="E34" s="70">
        <v>1140879.92</v>
      </c>
      <c r="F34" s="47">
        <f>F35+F36</f>
        <v>1083461.3799999999</v>
      </c>
      <c r="G34" s="55">
        <f t="shared" si="1"/>
        <v>0.94967170602844864</v>
      </c>
    </row>
    <row r="35" spans="1:7" ht="15.75" thickBot="1">
      <c r="A35">
        <v>12</v>
      </c>
      <c r="B35" s="20" t="s">
        <v>28</v>
      </c>
      <c r="C35" s="8"/>
      <c r="D35" s="10"/>
      <c r="E35" s="71">
        <v>1120879.92</v>
      </c>
      <c r="F35" s="43">
        <v>1082861.3799999999</v>
      </c>
      <c r="G35" s="53">
        <f t="shared" si="1"/>
        <v>0.96608152280933002</v>
      </c>
    </row>
    <row r="36" spans="1:7" ht="15.75" thickBot="1">
      <c r="A36">
        <v>13</v>
      </c>
      <c r="B36" s="20" t="s">
        <v>29</v>
      </c>
      <c r="C36" s="8"/>
      <c r="D36" s="10"/>
      <c r="E36" s="71">
        <v>20000</v>
      </c>
      <c r="F36" s="44">
        <v>600</v>
      </c>
      <c r="G36" s="53">
        <f t="shared" si="1"/>
        <v>0.03</v>
      </c>
    </row>
    <row r="37" spans="1:7" ht="43.5" thickBot="1">
      <c r="A37">
        <v>14</v>
      </c>
      <c r="B37" s="19" t="s">
        <v>30</v>
      </c>
      <c r="C37" s="8"/>
      <c r="D37" s="10"/>
      <c r="E37" s="70">
        <v>729390</v>
      </c>
      <c r="F37" s="47">
        <v>606977.78</v>
      </c>
      <c r="G37" s="55">
        <f t="shared" si="1"/>
        <v>0.83217178738397846</v>
      </c>
    </row>
    <row r="38" spans="1:7" ht="15.75" thickBot="1">
      <c r="A38">
        <v>15</v>
      </c>
      <c r="B38" s="19" t="s">
        <v>31</v>
      </c>
      <c r="C38" s="8"/>
      <c r="D38" s="10"/>
      <c r="E38" s="70">
        <v>790000</v>
      </c>
      <c r="F38" s="49">
        <v>658875.66</v>
      </c>
      <c r="G38" s="55">
        <f t="shared" si="1"/>
        <v>0.83401982278481013</v>
      </c>
    </row>
    <row r="39" spans="1:7" ht="43.5" thickBot="1">
      <c r="A39">
        <v>16</v>
      </c>
      <c r="B39" s="19" t="s">
        <v>32</v>
      </c>
      <c r="C39" s="8"/>
      <c r="D39" s="10"/>
      <c r="E39" s="70">
        <v>809251.4</v>
      </c>
      <c r="F39" s="47">
        <f>F40+F41+F42+F43+F44</f>
        <v>668677.97</v>
      </c>
      <c r="G39" s="55">
        <f t="shared" si="1"/>
        <v>0.826292015064787</v>
      </c>
    </row>
    <row r="40" spans="1:7" ht="15.75" thickBot="1">
      <c r="A40">
        <v>17</v>
      </c>
      <c r="B40" s="20" t="s">
        <v>65</v>
      </c>
      <c r="C40" s="8"/>
      <c r="D40" s="10"/>
      <c r="E40" s="71">
        <v>618181.80000000005</v>
      </c>
      <c r="F40" s="44">
        <v>560606.1</v>
      </c>
      <c r="G40" s="53">
        <f t="shared" si="1"/>
        <v>0.90686283549596569</v>
      </c>
    </row>
    <row r="41" spans="1:7" ht="45.75" thickBot="1">
      <c r="A41">
        <v>18</v>
      </c>
      <c r="B41" s="20" t="s">
        <v>33</v>
      </c>
      <c r="C41" s="8"/>
      <c r="D41" s="10"/>
      <c r="E41" s="71">
        <v>20000</v>
      </c>
      <c r="F41" s="43">
        <v>60099.87</v>
      </c>
      <c r="G41" s="53">
        <f t="shared" si="1"/>
        <v>3.0049935000000003</v>
      </c>
    </row>
    <row r="42" spans="1:7" ht="45.75" thickBot="1">
      <c r="A42">
        <v>19</v>
      </c>
      <c r="B42" s="20" t="s">
        <v>80</v>
      </c>
      <c r="C42" s="8"/>
      <c r="D42" s="10"/>
      <c r="E42" s="71">
        <v>40000</v>
      </c>
      <c r="F42" s="44">
        <v>34376</v>
      </c>
      <c r="G42" s="53">
        <f t="shared" si="1"/>
        <v>0.85940000000000005</v>
      </c>
    </row>
    <row r="43" spans="1:7" ht="15.75" thickBot="1">
      <c r="A43">
        <v>20</v>
      </c>
      <c r="B43" s="20" t="s">
        <v>34</v>
      </c>
      <c r="C43" s="8"/>
      <c r="D43" s="10"/>
      <c r="E43" s="71">
        <v>20000</v>
      </c>
      <c r="F43" s="43">
        <v>0</v>
      </c>
      <c r="G43" s="53">
        <f t="shared" si="1"/>
        <v>0</v>
      </c>
    </row>
    <row r="44" spans="1:7" ht="15.75" thickBot="1">
      <c r="A44">
        <v>21</v>
      </c>
      <c r="B44" s="20" t="s">
        <v>35</v>
      </c>
      <c r="C44" s="8"/>
      <c r="D44" s="10"/>
      <c r="E44" s="71">
        <v>111069.6</v>
      </c>
      <c r="F44" s="44">
        <v>13596</v>
      </c>
      <c r="G44" s="53">
        <f t="shared" si="1"/>
        <v>0.1224097322759783</v>
      </c>
    </row>
    <row r="45" spans="1:7" ht="29.25" thickBot="1">
      <c r="A45">
        <v>22</v>
      </c>
      <c r="B45" s="19" t="s">
        <v>36</v>
      </c>
      <c r="C45" s="8"/>
      <c r="D45" s="10"/>
      <c r="E45" s="70">
        <v>678636</v>
      </c>
      <c r="F45" s="47">
        <f>F46+F47</f>
        <v>630920.03999999992</v>
      </c>
      <c r="G45" s="55">
        <f t="shared" si="1"/>
        <v>0.9296884338585043</v>
      </c>
    </row>
    <row r="46" spans="1:7" ht="15.75" thickBot="1">
      <c r="A46">
        <v>23</v>
      </c>
      <c r="B46" s="20" t="s">
        <v>28</v>
      </c>
      <c r="C46" s="8"/>
      <c r="D46" s="10"/>
      <c r="E46" s="71">
        <v>663636</v>
      </c>
      <c r="F46" s="44">
        <v>599242.1</v>
      </c>
      <c r="G46" s="53">
        <f t="shared" si="1"/>
        <v>0.9029680427222152</v>
      </c>
    </row>
    <row r="47" spans="1:7" ht="15.75" thickBot="1">
      <c r="A47">
        <v>24</v>
      </c>
      <c r="B47" s="20" t="s">
        <v>38</v>
      </c>
      <c r="C47" s="8"/>
      <c r="D47" s="10"/>
      <c r="E47" s="71">
        <v>15000</v>
      </c>
      <c r="F47" s="43">
        <v>31677.94</v>
      </c>
      <c r="G47" s="53">
        <f t="shared" si="1"/>
        <v>2.1118626666666667</v>
      </c>
    </row>
    <row r="48" spans="1:7" ht="29.25" thickBot="1">
      <c r="A48">
        <v>25</v>
      </c>
      <c r="B48" s="19" t="s">
        <v>39</v>
      </c>
      <c r="C48" s="8"/>
      <c r="D48" s="10"/>
      <c r="E48" s="70">
        <f>SUM(E49:E52)</f>
        <v>2348595.4484399999</v>
      </c>
      <c r="F48" s="47">
        <f>F49+F50+F52</f>
        <v>2426391.37</v>
      </c>
      <c r="G48" s="55">
        <f t="shared" si="1"/>
        <v>1.033124445341012</v>
      </c>
    </row>
    <row r="49" spans="1:9" ht="30.75" thickBot="1">
      <c r="A49">
        <v>26</v>
      </c>
      <c r="B49" s="20" t="s">
        <v>67</v>
      </c>
      <c r="C49" s="8"/>
      <c r="D49" s="10"/>
      <c r="E49" s="71">
        <f>(18706.49*4+18103.05*4)*12+(18706.4*4+18103.05*4)</f>
        <v>1914095.72</v>
      </c>
      <c r="F49" s="50">
        <v>2015958.7</v>
      </c>
      <c r="G49" s="53">
        <f t="shared" si="1"/>
        <v>1.0532172863329949</v>
      </c>
    </row>
    <row r="50" spans="1:9" ht="15.75" thickBot="1">
      <c r="B50" s="20" t="s">
        <v>88</v>
      </c>
      <c r="C50" s="8"/>
      <c r="D50" s="10"/>
      <c r="E50" s="65"/>
      <c r="F50" s="45">
        <v>1660.72</v>
      </c>
      <c r="G50" s="53">
        <v>1</v>
      </c>
    </row>
    <row r="51" spans="1:9" ht="15.75" thickBot="1">
      <c r="A51">
        <v>27</v>
      </c>
      <c r="B51" s="30" t="s">
        <v>66</v>
      </c>
      <c r="C51" s="8"/>
      <c r="D51" s="10"/>
      <c r="E51" s="71">
        <f>(E49*1.05-E49)/2</f>
        <v>47852.39300000004</v>
      </c>
      <c r="F51" s="48"/>
      <c r="G51" s="53"/>
    </row>
    <row r="52" spans="1:9" ht="15.75" thickBot="1">
      <c r="A52">
        <v>28</v>
      </c>
      <c r="B52" s="20" t="s">
        <v>40</v>
      </c>
      <c r="C52" s="8"/>
      <c r="D52" s="10"/>
      <c r="E52" s="71">
        <f>E49/100*20.2</f>
        <v>386647.33544</v>
      </c>
      <c r="F52" s="44">
        <v>408771.95</v>
      </c>
      <c r="G52" s="53">
        <f t="shared" si="1"/>
        <v>1.0572216915314376</v>
      </c>
    </row>
    <row r="53" spans="1:9" ht="29.25" thickBot="1">
      <c r="A53">
        <v>29</v>
      </c>
      <c r="B53" s="19" t="s">
        <v>41</v>
      </c>
      <c r="C53" s="8"/>
      <c r="D53" s="10"/>
      <c r="E53" s="76">
        <f>SUM(E54:E67)</f>
        <v>2242305.9329199996</v>
      </c>
      <c r="F53" s="47">
        <f>F54+F56+F57+F58+F60+F61+F62+F63+F64+F65+F66+F67+F59</f>
        <v>2443817.8000000003</v>
      </c>
      <c r="G53" s="55">
        <f t="shared" si="1"/>
        <v>1.0898681415954627</v>
      </c>
      <c r="H53" s="27"/>
    </row>
    <row r="54" spans="1:9" ht="45.75" thickBot="1">
      <c r="A54">
        <v>30</v>
      </c>
      <c r="B54" s="20" t="s">
        <v>68</v>
      </c>
      <c r="C54" s="8"/>
      <c r="D54" s="10"/>
      <c r="E54" s="72">
        <f>(45257.63+24224.5+12068.7+22988)*12</f>
        <v>1254465.96</v>
      </c>
      <c r="F54" s="45">
        <v>1353478.23</v>
      </c>
      <c r="G54" s="53">
        <f t="shared" si="1"/>
        <v>1.078927825191845</v>
      </c>
      <c r="I54" s="32"/>
    </row>
    <row r="55" spans="1:9" ht="15.75" thickBot="1">
      <c r="A55">
        <v>31</v>
      </c>
      <c r="B55" s="30" t="s">
        <v>66</v>
      </c>
      <c r="C55" s="8"/>
      <c r="D55" s="10"/>
      <c r="E55" s="71">
        <f>(E54*1.05-E54)/2</f>
        <v>31361.648999999976</v>
      </c>
      <c r="F55" s="51"/>
      <c r="G55" s="53"/>
      <c r="I55" s="32"/>
    </row>
    <row r="56" spans="1:9" ht="15.75" thickBot="1">
      <c r="A56">
        <v>32</v>
      </c>
      <c r="B56" s="20" t="s">
        <v>42</v>
      </c>
      <c r="C56" s="8"/>
      <c r="D56" s="10"/>
      <c r="E56" s="71">
        <f>E54/100*20.2</f>
        <v>253402.12391999998</v>
      </c>
      <c r="F56" s="43">
        <v>273402.61</v>
      </c>
      <c r="G56" s="53">
        <f t="shared" si="1"/>
        <v>1.0789278549469232</v>
      </c>
    </row>
    <row r="57" spans="1:9" ht="30.75" thickBot="1">
      <c r="A57">
        <v>33</v>
      </c>
      <c r="B57" s="20" t="s">
        <v>43</v>
      </c>
      <c r="C57" s="8"/>
      <c r="D57" s="10"/>
      <c r="E57" s="71">
        <v>30000</v>
      </c>
      <c r="F57" s="44">
        <v>58698.3</v>
      </c>
      <c r="G57" s="53">
        <f t="shared" si="1"/>
        <v>1.9566100000000002</v>
      </c>
    </row>
    <row r="58" spans="1:9" ht="45.75" thickBot="1">
      <c r="A58">
        <v>34</v>
      </c>
      <c r="B58" s="22" t="s">
        <v>69</v>
      </c>
      <c r="C58" s="8"/>
      <c r="D58" s="10"/>
      <c r="E58" s="71">
        <v>25000</v>
      </c>
      <c r="F58" s="43">
        <v>25000</v>
      </c>
      <c r="G58" s="53">
        <f t="shared" si="1"/>
        <v>1</v>
      </c>
    </row>
    <row r="59" spans="1:9" ht="45.75" thickBot="1">
      <c r="A59">
        <v>35</v>
      </c>
      <c r="B59" s="20" t="s">
        <v>87</v>
      </c>
      <c r="C59" s="8"/>
      <c r="D59" s="10"/>
      <c r="E59" s="71">
        <v>7000</v>
      </c>
      <c r="F59" s="44">
        <v>6504.2</v>
      </c>
      <c r="G59" s="53">
        <f t="shared" si="1"/>
        <v>0.92917142857142854</v>
      </c>
    </row>
    <row r="60" spans="1:9" ht="15.75" thickBot="1">
      <c r="A60">
        <v>36</v>
      </c>
      <c r="B60" s="20" t="s">
        <v>44</v>
      </c>
      <c r="C60" s="8"/>
      <c r="D60" s="10"/>
      <c r="E60" s="73">
        <v>5000</v>
      </c>
      <c r="F60" s="43">
        <v>11000</v>
      </c>
      <c r="G60" s="53">
        <f t="shared" si="1"/>
        <v>2.2000000000000002</v>
      </c>
    </row>
    <row r="61" spans="1:9" ht="60.75" thickBot="1">
      <c r="A61">
        <v>37</v>
      </c>
      <c r="B61" s="20" t="s">
        <v>79</v>
      </c>
      <c r="C61" s="8"/>
      <c r="D61" s="26"/>
      <c r="E61" s="74">
        <v>545076.19999999995</v>
      </c>
      <c r="F61" s="42">
        <v>608095.44999999995</v>
      </c>
      <c r="G61" s="53">
        <f t="shared" si="1"/>
        <v>1.1156154864218986</v>
      </c>
    </row>
    <row r="62" spans="1:9" ht="30.75" thickBot="1">
      <c r="A62">
        <v>38</v>
      </c>
      <c r="B62" s="20" t="s">
        <v>45</v>
      </c>
      <c r="C62" s="8"/>
      <c r="D62" s="10"/>
      <c r="E62" s="71">
        <v>8000</v>
      </c>
      <c r="F62" s="43">
        <v>0</v>
      </c>
      <c r="G62" s="53">
        <f t="shared" si="1"/>
        <v>0</v>
      </c>
    </row>
    <row r="63" spans="1:9" ht="30.75" thickBot="1">
      <c r="A63">
        <v>39</v>
      </c>
      <c r="B63" s="20" t="s">
        <v>46</v>
      </c>
      <c r="C63" s="8"/>
      <c r="D63" s="10"/>
      <c r="E63" s="71">
        <v>15000</v>
      </c>
      <c r="F63" s="44">
        <v>30573.81</v>
      </c>
      <c r="G63" s="53">
        <f t="shared" si="1"/>
        <v>2.0382540000000002</v>
      </c>
    </row>
    <row r="64" spans="1:9" ht="30.75" thickBot="1">
      <c r="A64">
        <v>40</v>
      </c>
      <c r="B64" s="20" t="s">
        <v>47</v>
      </c>
      <c r="C64" s="8"/>
      <c r="D64" s="10"/>
      <c r="E64" s="71">
        <v>10000</v>
      </c>
      <c r="F64" s="43">
        <v>15030</v>
      </c>
      <c r="G64" s="53">
        <f t="shared" si="1"/>
        <v>1.5029999999999999</v>
      </c>
    </row>
    <row r="65" spans="1:9" ht="15.75" thickBot="1">
      <c r="A65">
        <v>41</v>
      </c>
      <c r="B65" s="20" t="s">
        <v>48</v>
      </c>
      <c r="C65" s="8"/>
      <c r="D65" s="10"/>
      <c r="E65" s="71">
        <v>3000</v>
      </c>
      <c r="F65" s="44">
        <v>0</v>
      </c>
      <c r="G65" s="53">
        <f t="shared" si="1"/>
        <v>0</v>
      </c>
    </row>
    <row r="66" spans="1:9" ht="15.75" thickBot="1">
      <c r="A66">
        <v>42</v>
      </c>
      <c r="B66" s="20" t="s">
        <v>49</v>
      </c>
      <c r="C66" s="8"/>
      <c r="D66" s="10"/>
      <c r="E66" s="71">
        <v>50000</v>
      </c>
      <c r="F66" s="43">
        <v>62035.199999999997</v>
      </c>
      <c r="G66" s="53">
        <f t="shared" si="1"/>
        <v>1.240704</v>
      </c>
    </row>
    <row r="67" spans="1:9" ht="15.75" thickBot="1">
      <c r="A67">
        <v>43</v>
      </c>
      <c r="B67" s="20" t="s">
        <v>50</v>
      </c>
      <c r="C67" s="8"/>
      <c r="D67" s="10"/>
      <c r="E67" s="71">
        <v>5000</v>
      </c>
      <c r="F67" s="44">
        <v>0</v>
      </c>
      <c r="G67" s="53">
        <f t="shared" si="1"/>
        <v>0</v>
      </c>
    </row>
    <row r="68" spans="1:9" ht="15.75" thickBot="1">
      <c r="A68">
        <v>44</v>
      </c>
      <c r="B68" s="19" t="s">
        <v>51</v>
      </c>
      <c r="C68" s="8"/>
      <c r="D68" s="10"/>
      <c r="E68" s="70">
        <f>SUM(E69:E71)</f>
        <v>185650.4988</v>
      </c>
      <c r="F68" s="47">
        <f>F69+F70+F71</f>
        <v>180352.94999999998</v>
      </c>
      <c r="G68" s="55">
        <f t="shared" si="1"/>
        <v>0.97146493634952724</v>
      </c>
    </row>
    <row r="69" spans="1:9" ht="15.75" thickBot="1">
      <c r="A69">
        <v>45</v>
      </c>
      <c r="B69" s="23" t="s">
        <v>52</v>
      </c>
      <c r="C69" s="8"/>
      <c r="D69" s="10"/>
      <c r="E69" s="71">
        <f>12608.7*12</f>
        <v>151304.40000000002</v>
      </c>
      <c r="F69" s="51">
        <v>150044.04999999999</v>
      </c>
      <c r="G69" s="53">
        <f t="shared" si="1"/>
        <v>0.9916701034470905</v>
      </c>
    </row>
    <row r="70" spans="1:9" ht="15.75" thickBot="1">
      <c r="A70">
        <v>46</v>
      </c>
      <c r="B70" s="30" t="s">
        <v>66</v>
      </c>
      <c r="C70" s="8"/>
      <c r="D70" s="10"/>
      <c r="E70" s="71">
        <f>(E69*1.05-E69)/2</f>
        <v>3782.6100000000006</v>
      </c>
      <c r="F70" s="48"/>
      <c r="G70" s="53"/>
    </row>
    <row r="71" spans="1:9" ht="15.75" thickBot="1">
      <c r="A71">
        <v>47</v>
      </c>
      <c r="B71" s="23" t="s">
        <v>53</v>
      </c>
      <c r="C71" s="8"/>
      <c r="D71" s="10"/>
      <c r="E71" s="71">
        <f>E69/100*20.2</f>
        <v>30563.488800000006</v>
      </c>
      <c r="F71" s="44">
        <v>30308.9</v>
      </c>
      <c r="G71" s="53">
        <f t="shared" si="1"/>
        <v>0.99167016561276855</v>
      </c>
    </row>
    <row r="72" spans="1:9" ht="15.75" thickBot="1">
      <c r="A72">
        <v>48</v>
      </c>
      <c r="B72" s="19" t="s">
        <v>54</v>
      </c>
      <c r="C72" s="11"/>
      <c r="D72" s="24"/>
      <c r="E72" s="70">
        <v>2133977.04</v>
      </c>
      <c r="F72" s="47">
        <v>1298342.3700000001</v>
      </c>
      <c r="G72" s="55">
        <f t="shared" si="1"/>
        <v>0.60841440449612338</v>
      </c>
    </row>
    <row r="73" spans="1:9" ht="15.75" thickBot="1">
      <c r="A73">
        <v>49</v>
      </c>
      <c r="B73" s="19" t="s">
        <v>55</v>
      </c>
      <c r="C73" s="8"/>
      <c r="D73" s="10"/>
      <c r="E73" s="70">
        <f>380*122.13*12</f>
        <v>556912.80000000005</v>
      </c>
      <c r="F73" s="49">
        <v>348638.08</v>
      </c>
      <c r="G73" s="55">
        <f t="shared" si="1"/>
        <v>0.62601915416560727</v>
      </c>
      <c r="I73" s="32"/>
    </row>
    <row r="74" spans="1:9" ht="15.75" thickBot="1">
      <c r="A74">
        <v>50</v>
      </c>
      <c r="B74" s="19" t="s">
        <v>56</v>
      </c>
      <c r="C74" s="8"/>
      <c r="D74" s="10"/>
      <c r="E74" s="70">
        <v>306934.7</v>
      </c>
      <c r="F74" s="47">
        <v>123887.12</v>
      </c>
      <c r="G74" s="55">
        <f t="shared" si="1"/>
        <v>0.40362696039255253</v>
      </c>
      <c r="I74" t="s">
        <v>90</v>
      </c>
    </row>
    <row r="75" spans="1:9" ht="15.75" thickBot="1">
      <c r="A75">
        <v>51</v>
      </c>
      <c r="B75" s="19" t="s">
        <v>75</v>
      </c>
      <c r="C75" s="8"/>
      <c r="D75" s="10"/>
      <c r="E75" s="70">
        <v>280000</v>
      </c>
      <c r="F75" s="49">
        <v>282079</v>
      </c>
      <c r="G75" s="55">
        <f t="shared" si="1"/>
        <v>1.007425</v>
      </c>
    </row>
    <row r="76" spans="1:9" ht="15.75" thickBot="1">
      <c r="A76">
        <v>52</v>
      </c>
      <c r="B76" s="19" t="s">
        <v>57</v>
      </c>
      <c r="C76" s="8"/>
      <c r="D76" s="10"/>
      <c r="E76" s="70">
        <v>29624.1</v>
      </c>
      <c r="F76" s="47">
        <v>31905.93</v>
      </c>
      <c r="G76" s="55">
        <f t="shared" si="1"/>
        <v>1.0770261375029115</v>
      </c>
    </row>
    <row r="77" spans="1:9" ht="29.25" thickBot="1">
      <c r="A77">
        <v>53</v>
      </c>
      <c r="B77" s="19" t="s">
        <v>58</v>
      </c>
      <c r="C77" s="8"/>
      <c r="D77" s="10"/>
      <c r="E77" s="70">
        <f>SUM(E78:E83)</f>
        <v>2184765.1564800004</v>
      </c>
      <c r="F77" s="49">
        <f>F78+F79+F80+F81+F82+F83</f>
        <v>2369525.42</v>
      </c>
      <c r="G77" s="55">
        <f t="shared" si="1"/>
        <v>1.0845675623176256</v>
      </c>
    </row>
    <row r="78" spans="1:9" ht="15.75" thickBot="1">
      <c r="A78">
        <v>54</v>
      </c>
      <c r="B78" s="20" t="s">
        <v>59</v>
      </c>
      <c r="C78" s="8"/>
      <c r="D78" s="10"/>
      <c r="E78" s="71">
        <v>87000</v>
      </c>
      <c r="F78" s="43">
        <v>56106.68</v>
      </c>
      <c r="G78" s="53">
        <f t="shared" si="1"/>
        <v>0.64490436781609195</v>
      </c>
    </row>
    <row r="79" spans="1:9" ht="30.75" thickBot="1">
      <c r="A79">
        <v>55</v>
      </c>
      <c r="B79" s="20" t="s">
        <v>60</v>
      </c>
      <c r="C79" s="8"/>
      <c r="D79" s="25"/>
      <c r="E79" s="71">
        <v>40000</v>
      </c>
      <c r="F79" s="44">
        <v>255519.19</v>
      </c>
      <c r="G79" s="53">
        <f t="shared" si="1"/>
        <v>6.3879797500000004</v>
      </c>
    </row>
    <row r="80" spans="1:9" ht="45.75" thickBot="1">
      <c r="A80">
        <v>56</v>
      </c>
      <c r="B80" s="20" t="s">
        <v>61</v>
      </c>
      <c r="C80" s="8"/>
      <c r="D80" s="10"/>
      <c r="E80" s="71">
        <v>110000</v>
      </c>
      <c r="F80" s="43">
        <v>164676.66</v>
      </c>
      <c r="G80" s="53">
        <f t="shared" si="1"/>
        <v>1.4970605454545456</v>
      </c>
    </row>
    <row r="81" spans="1:7" ht="30.75" thickBot="1">
      <c r="A81">
        <v>57</v>
      </c>
      <c r="B81" s="20" t="s">
        <v>76</v>
      </c>
      <c r="C81" s="8"/>
      <c r="D81" s="10"/>
      <c r="E81" s="72">
        <f>(38619.84+45257.63+42240.45)*12</f>
        <v>1513415.04</v>
      </c>
      <c r="F81" s="50">
        <v>1576457.92</v>
      </c>
      <c r="G81" s="53">
        <f t="shared" si="1"/>
        <v>1.041656041689661</v>
      </c>
    </row>
    <row r="82" spans="1:7" ht="15.75" thickBot="1">
      <c r="A82">
        <v>58</v>
      </c>
      <c r="B82" s="30" t="s">
        <v>66</v>
      </c>
      <c r="C82" s="8"/>
      <c r="D82" s="10"/>
      <c r="E82" s="72">
        <f>(E81*1.05-E81)/2</f>
        <v>37835.376000000047</v>
      </c>
      <c r="F82" s="48"/>
      <c r="G82" s="53"/>
    </row>
    <row r="83" spans="1:7" ht="15.75" thickBot="1">
      <c r="A83">
        <v>59</v>
      </c>
      <c r="B83" s="20" t="s">
        <v>37</v>
      </c>
      <c r="C83" s="8"/>
      <c r="D83" s="10"/>
      <c r="E83" s="71">
        <f>E81/100*26.2</f>
        <v>396514.74047999998</v>
      </c>
      <c r="F83" s="44">
        <v>316764.96999999997</v>
      </c>
      <c r="G83" s="53">
        <f t="shared" si="1"/>
        <v>0.79887312541405364</v>
      </c>
    </row>
    <row r="84" spans="1:7" ht="15.75" thickBot="1">
      <c r="A84">
        <v>60</v>
      </c>
      <c r="B84" s="19" t="s">
        <v>62</v>
      </c>
      <c r="C84" s="11"/>
      <c r="D84" s="24"/>
      <c r="E84" s="75">
        <v>6258771.96</v>
      </c>
      <c r="F84" s="47">
        <v>5250287.63</v>
      </c>
      <c r="G84" s="55">
        <f t="shared" si="1"/>
        <v>0.8388686572309626</v>
      </c>
    </row>
    <row r="85" spans="1:7" ht="15.75" thickBot="1">
      <c r="A85">
        <v>61</v>
      </c>
      <c r="B85" s="19" t="s">
        <v>63</v>
      </c>
      <c r="C85" s="10"/>
      <c r="D85" s="26"/>
      <c r="E85" s="47">
        <v>6740909.1299999999</v>
      </c>
      <c r="F85" s="52">
        <v>6096317.0899999999</v>
      </c>
      <c r="G85" s="55">
        <f t="shared" si="1"/>
        <v>0.90437609711555333</v>
      </c>
    </row>
    <row r="86" spans="1:7">
      <c r="B86" s="1"/>
      <c r="D86" s="27"/>
    </row>
    <row r="87" spans="1:7">
      <c r="B87" s="1"/>
    </row>
  </sheetData>
  <mergeCells count="2">
    <mergeCell ref="C15:E15"/>
    <mergeCell ref="C3:D3"/>
  </mergeCells>
  <pageMargins left="0.70866141732283472" right="0.70866141732283472" top="0.74803149606299213" bottom="0.74803149606299213" header="0.31496062992125984" footer="0.31496062992125984"/>
  <pageSetup paperSize="9" scale="80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cp:lastPrinted>2016-04-12T14:43:55Z</cp:lastPrinted>
  <dcterms:created xsi:type="dcterms:W3CDTF">2014-02-25T06:32:20Z</dcterms:created>
  <dcterms:modified xsi:type="dcterms:W3CDTF">2016-04-21T11:45:12Z</dcterms:modified>
</cp:coreProperties>
</file>